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1"/>
  <workbookPr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0" documentId="13_ncr:1_{0F96D630-7C35-4704-BAE5-7E7D4A5B7ECA}" xr6:coauthVersionLast="47" xr6:coauthVersionMax="47" xr10:uidLastSave="{00000000-0000-0000-0000-000000000000}"/>
  <bookViews>
    <workbookView xWindow="0" yWindow="465" windowWidth="31035" windowHeight="19320" xr2:uid="{00000000-000D-0000-FFFF-FFFF00000000}"/>
  </bookViews>
  <sheets>
    <sheet name="P&amp;L" sheetId="1" r:id="rId1"/>
    <sheet name="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N15" i="2" l="1"/>
  <c r="J15" i="2"/>
  <c r="K15" i="2"/>
  <c r="L15" i="2"/>
  <c r="G27" i="1" s="1"/>
  <c r="F15" i="2"/>
  <c r="G19" i="1" s="1"/>
  <c r="G15" i="2"/>
  <c r="G20" i="1" s="1"/>
  <c r="D15" i="2"/>
  <c r="G15" i="1" s="1"/>
  <c r="E15" i="2"/>
  <c r="G16" i="1" s="1"/>
  <c r="H15" i="2"/>
  <c r="B15" i="2"/>
  <c r="C15" i="2"/>
  <c r="I15" i="2"/>
  <c r="M15" i="2"/>
  <c r="G28" i="1" s="1"/>
  <c r="E57" i="1"/>
  <c r="F57" i="1" s="1"/>
  <c r="H57" i="1" s="1"/>
  <c r="F15" i="1"/>
  <c r="E20" i="1"/>
  <c r="F20" i="1" s="1"/>
  <c r="G24" i="1" l="1"/>
  <c r="E24" i="1"/>
  <c r="G26" i="1"/>
  <c r="E26" i="1"/>
  <c r="G25" i="1"/>
  <c r="E25" i="1"/>
  <c r="G18" i="1"/>
  <c r="G22" i="1" s="1"/>
  <c r="H20" i="1"/>
  <c r="G60" i="1"/>
  <c r="E60" i="1"/>
  <c r="F58" i="1"/>
  <c r="H58" i="1" s="1"/>
  <c r="F56" i="1"/>
  <c r="H56" i="1" s="1"/>
  <c r="G49" i="1"/>
  <c r="E49" i="1"/>
  <c r="F47" i="1"/>
  <c r="H47" i="1" s="1"/>
  <c r="C47" i="1"/>
  <c r="F46" i="1"/>
  <c r="H46" i="1" s="1"/>
  <c r="C46" i="1"/>
  <c r="F45" i="1"/>
  <c r="H45" i="1" s="1"/>
  <c r="C45" i="1"/>
  <c r="F44" i="1"/>
  <c r="H44" i="1" s="1"/>
  <c r="C44" i="1"/>
  <c r="F43" i="1"/>
  <c r="H43" i="1" s="1"/>
  <c r="C43" i="1"/>
  <c r="G41" i="1"/>
  <c r="E41" i="1"/>
  <c r="F39" i="1"/>
  <c r="H39" i="1" s="1"/>
  <c r="C39" i="1"/>
  <c r="F38" i="1"/>
  <c r="H38" i="1" s="1"/>
  <c r="C38" i="1"/>
  <c r="F37" i="1"/>
  <c r="H37" i="1" s="1"/>
  <c r="C37" i="1"/>
  <c r="F36" i="1"/>
  <c r="H36" i="1" s="1"/>
  <c r="C36" i="1"/>
  <c r="F27" i="1"/>
  <c r="G12" i="1"/>
  <c r="G13" i="1"/>
  <c r="F26" i="1"/>
  <c r="H26" i="1" s="1"/>
  <c r="F25" i="1"/>
  <c r="H25" i="1" s="1"/>
  <c r="F24" i="1"/>
  <c r="E19" i="1"/>
  <c r="F19" i="1" s="1"/>
  <c r="H19" i="1" s="1"/>
  <c r="E18" i="1"/>
  <c r="E22" i="1" s="1"/>
  <c r="F13" i="1"/>
  <c r="F12" i="1"/>
  <c r="E28" i="1" l="1"/>
  <c r="G51" i="1"/>
  <c r="E51" i="1"/>
  <c r="E52" i="1" s="1"/>
  <c r="F52" i="1" s="1"/>
  <c r="H52" i="1" s="1"/>
  <c r="F16" i="1"/>
  <c r="F18" i="1" s="1"/>
  <c r="F22" i="1" s="1"/>
  <c r="H15" i="1"/>
  <c r="C41" i="1"/>
  <c r="H12" i="1"/>
  <c r="H9" i="1" s="1"/>
  <c r="C49" i="1"/>
  <c r="H27" i="1"/>
  <c r="F60" i="1"/>
  <c r="H60" i="1" s="1"/>
  <c r="G30" i="1"/>
  <c r="G32" i="1" s="1"/>
  <c r="F49" i="1"/>
  <c r="H13" i="1"/>
  <c r="H41" i="1"/>
  <c r="H49" i="1"/>
  <c r="H24" i="1"/>
  <c r="F41" i="1"/>
  <c r="C51" i="1" l="1"/>
  <c r="G54" i="1"/>
  <c r="G62" i="1" s="1"/>
  <c r="F28" i="1"/>
  <c r="H28" i="1" s="1"/>
  <c r="H30" i="1" s="1"/>
  <c r="E30" i="1"/>
  <c r="E32" i="1" s="1"/>
  <c r="F51" i="1"/>
  <c r="F54" i="1" s="1"/>
  <c r="F62" i="1" s="1"/>
  <c r="H16" i="1"/>
  <c r="H18" i="1" s="1"/>
  <c r="H22" i="1" s="1"/>
  <c r="E54" i="1"/>
  <c r="E62" i="1" s="1"/>
  <c r="H62" i="1" l="1"/>
  <c r="H32" i="1"/>
  <c r="H51" i="1"/>
  <c r="H54" i="1" s="1"/>
  <c r="G64" i="1"/>
  <c r="F30" i="1"/>
  <c r="F32" i="1" s="1"/>
  <c r="F64" i="1" s="1"/>
  <c r="E64" i="1"/>
  <c r="H64" i="1" l="1"/>
</calcChain>
</file>

<file path=xl/sharedStrings.xml><?xml version="1.0" encoding="utf-8"?>
<sst xmlns="http://schemas.openxmlformats.org/spreadsheetml/2006/main" count="77" uniqueCount="76">
  <si>
    <r>
      <rPr>
        <b/>
        <u/>
        <sz val="12"/>
        <color theme="1"/>
        <rFont val="Times New Roman"/>
        <family val="1"/>
      </rPr>
      <t>FY2024</t>
    </r>
    <r>
      <rPr>
        <b/>
        <sz val="12"/>
        <color theme="1"/>
        <rFont val="Times New Roman"/>
        <family val="1"/>
      </rPr>
      <t xml:space="preserve"> PROVIDER PROFIT &amp; LOSS STATEMENT</t>
    </r>
  </si>
  <si>
    <t>Clinical Effort:</t>
  </si>
  <si>
    <t>Fiscal Period:</t>
  </si>
  <si>
    <t>Month:</t>
  </si>
  <si>
    <t>August</t>
  </si>
  <si>
    <t>Hire Date:</t>
  </si>
  <si>
    <t>% Over/Below RVU Goal:</t>
  </si>
  <si>
    <t>Annual Salary:</t>
  </si>
  <si>
    <t>PROVIDER NAME</t>
  </si>
  <si>
    <t>PRODUCTIVITY</t>
  </si>
  <si>
    <t>Annual Budget</t>
  </si>
  <si>
    <t>Prorated Budget</t>
  </si>
  <si>
    <t>YTD Actual</t>
  </si>
  <si>
    <t>Variance</t>
  </si>
  <si>
    <t>Relative Value Units (wRVUs)</t>
  </si>
  <si>
    <t>Encounters</t>
  </si>
  <si>
    <t>REVENUE</t>
  </si>
  <si>
    <t>Gross Charges</t>
  </si>
  <si>
    <r>
      <t xml:space="preserve">Contractual Adjustments </t>
    </r>
    <r>
      <rPr>
        <b/>
        <sz val="10"/>
        <color rgb="FF00843D"/>
        <rFont val="Times New Roman"/>
        <family val="1"/>
      </rPr>
      <t>(67%)</t>
    </r>
  </si>
  <si>
    <t>Net Expected Collections</t>
  </si>
  <si>
    <r>
      <t xml:space="preserve">Deans Tax </t>
    </r>
    <r>
      <rPr>
        <b/>
        <sz val="10"/>
        <color rgb="FF00843D"/>
        <rFont val="Times New Roman"/>
        <family val="1"/>
      </rPr>
      <t>(3%)</t>
    </r>
  </si>
  <si>
    <r>
      <t xml:space="preserve">Administrative Tax </t>
    </r>
    <r>
      <rPr>
        <b/>
        <sz val="10"/>
        <color rgb="FF00843D"/>
        <rFont val="Times New Roman"/>
        <family val="1"/>
      </rPr>
      <t>(17%)</t>
    </r>
  </si>
  <si>
    <t>Net Clinic Revenue</t>
  </si>
  <si>
    <t>Metro General (PSA)</t>
  </si>
  <si>
    <t>CMS (Prison Contract)</t>
  </si>
  <si>
    <t>Uncompensated Care</t>
  </si>
  <si>
    <r>
      <t xml:space="preserve">Other Revenue </t>
    </r>
    <r>
      <rPr>
        <b/>
        <sz val="10"/>
        <color rgb="FF00843D"/>
        <rFont val="Times New Roman"/>
        <family val="1"/>
      </rPr>
      <t>(Please Specify ____________________)</t>
    </r>
  </si>
  <si>
    <t>Revenue from Restricted support to offset salary</t>
  </si>
  <si>
    <t>Total Non Clinic Revenue</t>
  </si>
  <si>
    <t>Total Revenue</t>
  </si>
  <si>
    <t>EXPENSE</t>
  </si>
  <si>
    <t>Salary Related Expense</t>
  </si>
  <si>
    <t>% Effort</t>
  </si>
  <si>
    <t>110010-XXXXXX-600201-91 - MMG General Fund</t>
  </si>
  <si>
    <t>110000-XXXXXX-600201-10 - Unrestricted  Gen Fund</t>
  </si>
  <si>
    <t>110100-XXXXXX-600201-91 - Metro General</t>
  </si>
  <si>
    <t>110016-XXXXXX-600201-91 - Total Health</t>
  </si>
  <si>
    <t>Total Unrestricted Support</t>
  </si>
  <si>
    <t>305106-XXXXXX-600201-20 - COE</t>
  </si>
  <si>
    <t>Total Restricted Support</t>
  </si>
  <si>
    <t>Total Salary Support</t>
  </si>
  <si>
    <t>Fringe Benefits Expense</t>
  </si>
  <si>
    <t>Total Salary Related Expense</t>
  </si>
  <si>
    <t>Mal-practice Cost</t>
  </si>
  <si>
    <t>Bad Debt (9%)</t>
  </si>
  <si>
    <t>Other Operating Expense</t>
  </si>
  <si>
    <t>Total Operating Expense</t>
  </si>
  <si>
    <t>Total Expense</t>
  </si>
  <si>
    <r>
      <t>Net Profit/</t>
    </r>
    <r>
      <rPr>
        <b/>
        <sz val="10"/>
        <color rgb="FFFF0000"/>
        <rFont val="Times New Roman"/>
        <family val="1"/>
      </rPr>
      <t>(LOSS)</t>
    </r>
  </si>
  <si>
    <t>Data on Actual Activities</t>
  </si>
  <si>
    <t>Month</t>
  </si>
  <si>
    <t>Enc</t>
  </si>
  <si>
    <t>RVU</t>
  </si>
  <si>
    <t>Charges</t>
  </si>
  <si>
    <t>Adj</t>
  </si>
  <si>
    <t xml:space="preserve">Deans Tax </t>
  </si>
  <si>
    <t>Admin Tax</t>
  </si>
  <si>
    <t>Collections $</t>
  </si>
  <si>
    <t>Metro $</t>
  </si>
  <si>
    <t>CMS $</t>
  </si>
  <si>
    <t>Uncomp $</t>
  </si>
  <si>
    <t>Other $</t>
  </si>
  <si>
    <t>Rest. Rev. $</t>
  </si>
  <si>
    <t>Clinic Visits</t>
  </si>
  <si>
    <t>July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</si>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</sst>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[$-409]mmmm\-yy;@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rgb="FF00843D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rgb="FF00843D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43D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3" borderId="4" xfId="0" applyFont="1" applyFill="1" applyBorder="1"/>
    <xf numFmtId="0" fontId="3" fillId="5" borderId="30" xfId="0" applyFont="1" applyFill="1" applyBorder="1"/>
    <xf numFmtId="0" fontId="3" fillId="5" borderId="4" xfId="0" applyFont="1" applyFill="1" applyBorder="1"/>
    <xf numFmtId="0" fontId="3" fillId="3" borderId="31" xfId="0" applyFont="1" applyFill="1" applyBorder="1"/>
    <xf numFmtId="17" fontId="3" fillId="5" borderId="30" xfId="0" applyNumberFormat="1" applyFont="1" applyFill="1" applyBorder="1"/>
    <xf numFmtId="164" fontId="2" fillId="5" borderId="4" xfId="1" applyNumberFormat="1" applyFont="1" applyFill="1" applyBorder="1"/>
    <xf numFmtId="164" fontId="2" fillId="3" borderId="31" xfId="1" applyNumberFormat="1" applyFont="1" applyFill="1" applyBorder="1"/>
    <xf numFmtId="0" fontId="3" fillId="2" borderId="32" xfId="0" applyFont="1" applyFill="1" applyBorder="1"/>
    <xf numFmtId="164" fontId="3" fillId="2" borderId="33" xfId="1" applyNumberFormat="1" applyFont="1" applyFill="1" applyBorder="1"/>
    <xf numFmtId="0" fontId="5" fillId="2" borderId="0" xfId="0" applyFont="1" applyFill="1"/>
    <xf numFmtId="0" fontId="5" fillId="0" borderId="0" xfId="0" applyFont="1"/>
    <xf numFmtId="9" fontId="8" fillId="3" borderId="4" xfId="0" applyNumberFormat="1" applyFont="1" applyFill="1" applyBorder="1"/>
    <xf numFmtId="43" fontId="5" fillId="2" borderId="0" xfId="1" applyFont="1" applyFill="1"/>
    <xf numFmtId="43" fontId="8" fillId="2" borderId="12" xfId="1" applyFont="1" applyFill="1" applyBorder="1" applyAlignment="1">
      <alignment horizontal="right"/>
    </xf>
    <xf numFmtId="164" fontId="8" fillId="3" borderId="3" xfId="1" applyNumberFormat="1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6" fontId="8" fillId="3" borderId="3" xfId="0" applyNumberFormat="1" applyFont="1" applyFill="1" applyBorder="1"/>
    <xf numFmtId="0" fontId="8" fillId="2" borderId="0" xfId="0" applyFont="1" applyFill="1"/>
    <xf numFmtId="14" fontId="8" fillId="3" borderId="4" xfId="0" applyNumberFormat="1" applyFont="1" applyFill="1" applyBorder="1"/>
    <xf numFmtId="9" fontId="8" fillId="2" borderId="0" xfId="3" applyFont="1" applyFill="1" applyBorder="1"/>
    <xf numFmtId="165" fontId="8" fillId="3" borderId="3" xfId="2" applyNumberFormat="1" applyFont="1" applyFill="1" applyBorder="1"/>
    <xf numFmtId="43" fontId="8" fillId="2" borderId="0" xfId="1" applyFont="1" applyFill="1" applyBorder="1" applyAlignment="1">
      <alignment horizontal="center"/>
    </xf>
    <xf numFmtId="164" fontId="5" fillId="2" borderId="0" xfId="1" applyNumberFormat="1" applyFont="1" applyFill="1"/>
    <xf numFmtId="43" fontId="10" fillId="4" borderId="13" xfId="1" applyFont="1" applyFill="1" applyBorder="1" applyAlignment="1"/>
    <xf numFmtId="43" fontId="10" fillId="4" borderId="5" xfId="1" applyFont="1" applyFill="1" applyBorder="1" applyAlignment="1"/>
    <xf numFmtId="43" fontId="11" fillId="2" borderId="0" xfId="1" applyFont="1" applyFill="1" applyBorder="1" applyAlignment="1"/>
    <xf numFmtId="43" fontId="12" fillId="2" borderId="0" xfId="1" applyFont="1" applyFill="1"/>
    <xf numFmtId="164" fontId="12" fillId="3" borderId="18" xfId="1" applyNumberFormat="1" applyFont="1" applyFill="1" applyBorder="1"/>
    <xf numFmtId="164" fontId="12" fillId="2" borderId="18" xfId="1" applyNumberFormat="1" applyFont="1" applyFill="1" applyBorder="1"/>
    <xf numFmtId="164" fontId="12" fillId="2" borderId="14" xfId="1" applyNumberFormat="1" applyFont="1" applyFill="1" applyBorder="1"/>
    <xf numFmtId="164" fontId="12" fillId="2" borderId="0" xfId="1" applyNumberFormat="1" applyFont="1" applyFill="1" applyBorder="1"/>
    <xf numFmtId="164" fontId="12" fillId="3" borderId="15" xfId="1" applyNumberFormat="1" applyFont="1" applyFill="1" applyBorder="1"/>
    <xf numFmtId="164" fontId="12" fillId="2" borderId="15" xfId="1" applyNumberFormat="1" applyFont="1" applyFill="1" applyBorder="1"/>
    <xf numFmtId="164" fontId="12" fillId="2" borderId="23" xfId="1" applyNumberFormat="1" applyFont="1" applyFill="1" applyBorder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43" fontId="12" fillId="2" borderId="0" xfId="1" applyFont="1" applyFill="1" applyBorder="1"/>
    <xf numFmtId="164" fontId="12" fillId="0" borderId="0" xfId="1" applyNumberFormat="1" applyFont="1" applyFill="1" applyBorder="1"/>
    <xf numFmtId="164" fontId="5" fillId="0" borderId="0" xfId="1" applyNumberFormat="1" applyFont="1" applyFill="1" applyBorder="1"/>
    <xf numFmtId="38" fontId="5" fillId="3" borderId="15" xfId="1" applyNumberFormat="1" applyFont="1" applyFill="1" applyBorder="1"/>
    <xf numFmtId="38" fontId="5" fillId="2" borderId="0" xfId="0" applyNumberFormat="1" applyFont="1" applyFill="1"/>
    <xf numFmtId="0" fontId="5" fillId="2" borderId="0" xfId="0" applyFont="1" applyFill="1" applyAlignment="1">
      <alignment horizontal="left"/>
    </xf>
    <xf numFmtId="38" fontId="5" fillId="2" borderId="35" xfId="1" applyNumberFormat="1" applyFont="1" applyFill="1" applyBorder="1"/>
    <xf numFmtId="38" fontId="5" fillId="2" borderId="17" xfId="0" applyNumberFormat="1" applyFont="1" applyFill="1" applyBorder="1"/>
    <xf numFmtId="0" fontId="8" fillId="2" borderId="0" xfId="0" applyFont="1" applyFill="1" applyAlignment="1">
      <alignment horizontal="left"/>
    </xf>
    <xf numFmtId="43" fontId="8" fillId="2" borderId="0" xfId="1" applyFont="1" applyFill="1"/>
    <xf numFmtId="38" fontId="8" fillId="2" borderId="0" xfId="1" applyNumberFormat="1" applyFont="1" applyFill="1" applyBorder="1"/>
    <xf numFmtId="38" fontId="5" fillId="2" borderId="17" xfId="1" applyNumberFormat="1" applyFont="1" applyFill="1" applyBorder="1"/>
    <xf numFmtId="38" fontId="8" fillId="2" borderId="0" xfId="1" applyNumberFormat="1" applyFont="1" applyFill="1"/>
    <xf numFmtId="38" fontId="5" fillId="3" borderId="15" xfId="0" applyNumberFormat="1" applyFont="1" applyFill="1" applyBorder="1"/>
    <xf numFmtId="38" fontId="8" fillId="2" borderId="0" xfId="0" applyNumberFormat="1" applyFont="1" applyFill="1"/>
    <xf numFmtId="38" fontId="8" fillId="2" borderId="2" xfId="0" applyNumberFormat="1" applyFont="1" applyFill="1" applyBorder="1"/>
    <xf numFmtId="0" fontId="8" fillId="2" borderId="0" xfId="0" applyFont="1" applyFill="1" applyAlignment="1">
      <alignment horizontal="left" indent="3"/>
    </xf>
    <xf numFmtId="0" fontId="15" fillId="2" borderId="0" xfId="0" applyFont="1" applyFill="1"/>
    <xf numFmtId="0" fontId="16" fillId="2" borderId="0" xfId="0" applyFont="1" applyFill="1"/>
    <xf numFmtId="9" fontId="5" fillId="5" borderId="4" xfId="3" applyFont="1" applyFill="1" applyBorder="1"/>
    <xf numFmtId="9" fontId="5" fillId="5" borderId="3" xfId="3" applyFont="1" applyFill="1" applyBorder="1"/>
    <xf numFmtId="9" fontId="5" fillId="5" borderId="15" xfId="3" applyFont="1" applyFill="1" applyBorder="1"/>
    <xf numFmtId="38" fontId="8" fillId="3" borderId="15" xfId="0" applyNumberFormat="1" applyFont="1" applyFill="1" applyBorder="1"/>
    <xf numFmtId="9" fontId="5" fillId="2" borderId="0" xfId="3" applyFont="1" applyFill="1" applyBorder="1"/>
    <xf numFmtId="38" fontId="5" fillId="2" borderId="2" xfId="0" applyNumberFormat="1" applyFont="1" applyFill="1" applyBorder="1"/>
    <xf numFmtId="0" fontId="17" fillId="2" borderId="0" xfId="0" applyFont="1" applyFill="1"/>
    <xf numFmtId="0" fontId="11" fillId="2" borderId="0" xfId="0" applyFont="1" applyFill="1"/>
    <xf numFmtId="9" fontId="8" fillId="2" borderId="0" xfId="0" applyNumberFormat="1" applyFont="1" applyFill="1"/>
    <xf numFmtId="0" fontId="17" fillId="2" borderId="0" xfId="0" applyFont="1" applyFill="1" applyAlignment="1">
      <alignment horizontal="left" indent="2"/>
    </xf>
    <xf numFmtId="0" fontId="17" fillId="2" borderId="0" xfId="0" applyFont="1" applyFill="1" applyAlignment="1">
      <alignment horizontal="left" indent="3"/>
    </xf>
    <xf numFmtId="0" fontId="11" fillId="2" borderId="0" xfId="0" applyFont="1" applyFill="1" applyAlignment="1">
      <alignment horizontal="left" indent="2"/>
    </xf>
    <xf numFmtId="0" fontId="11" fillId="2" borderId="0" xfId="0" applyFont="1" applyFill="1" applyAlignment="1">
      <alignment horizontal="left" indent="5"/>
    </xf>
    <xf numFmtId="0" fontId="11" fillId="2" borderId="0" xfId="0" applyFont="1" applyFill="1" applyAlignment="1">
      <alignment horizontal="left" indent="10"/>
    </xf>
    <xf numFmtId="38" fontId="8" fillId="2" borderId="17" xfId="0" applyNumberFormat="1" applyFont="1" applyFill="1" applyBorder="1"/>
    <xf numFmtId="0" fontId="11" fillId="2" borderId="0" xfId="0" applyFont="1" applyFill="1" applyAlignment="1">
      <alignment horizontal="left" indent="19"/>
    </xf>
    <xf numFmtId="38" fontId="8" fillId="2" borderId="16" xfId="0" applyNumberFormat="1" applyFont="1" applyFill="1" applyBorder="1"/>
    <xf numFmtId="38" fontId="5" fillId="2" borderId="15" xfId="0" applyNumberFormat="1" applyFont="1" applyFill="1" applyBorder="1"/>
    <xf numFmtId="38" fontId="5" fillId="2" borderId="15" xfId="1" applyNumberFormat="1" applyFont="1" applyFill="1" applyBorder="1"/>
    <xf numFmtId="9" fontId="8" fillId="2" borderId="19" xfId="3" applyFont="1" applyFill="1" applyBorder="1"/>
    <xf numFmtId="9" fontId="8" fillId="5" borderId="36" xfId="0" applyNumberFormat="1" applyFont="1" applyFill="1" applyBorder="1"/>
    <xf numFmtId="9" fontId="8" fillId="2" borderId="36" xfId="0" applyNumberFormat="1" applyFont="1" applyFill="1" applyBorder="1"/>
    <xf numFmtId="9" fontId="8" fillId="2" borderId="36" xfId="3" applyFont="1" applyFill="1" applyBorder="1"/>
    <xf numFmtId="0" fontId="3" fillId="3" borderId="18" xfId="0" applyFont="1" applyFill="1" applyBorder="1" applyAlignment="1">
      <alignment vertical="center"/>
    </xf>
    <xf numFmtId="6" fontId="2" fillId="3" borderId="4" xfId="1" applyNumberFormat="1" applyFont="1" applyFill="1" applyBorder="1"/>
    <xf numFmtId="6" fontId="2" fillId="3" borderId="31" xfId="1" applyNumberFormat="1" applyFont="1" applyFill="1" applyBorder="1"/>
    <xf numFmtId="6" fontId="3" fillId="2" borderId="33" xfId="1" applyNumberFormat="1" applyFont="1" applyFill="1" applyBorder="1"/>
    <xf numFmtId="6" fontId="3" fillId="2" borderId="34" xfId="1" applyNumberFormat="1" applyFont="1" applyFill="1" applyBorder="1"/>
    <xf numFmtId="0" fontId="0" fillId="2" borderId="15" xfId="0" applyFill="1" applyBorder="1"/>
    <xf numFmtId="0" fontId="8" fillId="2" borderId="10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9" fillId="3" borderId="20" xfId="1" applyFont="1" applyFill="1" applyBorder="1" applyAlignment="1">
      <alignment horizontal="center"/>
    </xf>
    <xf numFmtId="43" fontId="9" fillId="3" borderId="21" xfId="1" applyFont="1" applyFill="1" applyBorder="1" applyAlignment="1">
      <alignment horizontal="center"/>
    </xf>
    <xf numFmtId="43" fontId="9" fillId="3" borderId="22" xfId="1" applyFont="1" applyFill="1" applyBorder="1" applyAlignment="1">
      <alignment horizontal="center"/>
    </xf>
    <xf numFmtId="43" fontId="8" fillId="2" borderId="12" xfId="1" applyFont="1" applyFill="1" applyBorder="1" applyAlignment="1">
      <alignment horizontal="right"/>
    </xf>
    <xf numFmtId="43" fontId="8" fillId="2" borderId="1" xfId="1" applyFont="1" applyFill="1" applyBorder="1" applyAlignment="1">
      <alignment horizontal="right"/>
    </xf>
    <xf numFmtId="0" fontId="8" fillId="2" borderId="0" xfId="0" applyFont="1" applyFill="1" applyAlignment="1">
      <alignment horizontal="left" indent="2"/>
    </xf>
    <xf numFmtId="0" fontId="13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right"/>
    </xf>
    <xf numFmtId="0" fontId="12" fillId="2" borderId="25" xfId="0" applyFont="1" applyFill="1" applyBorder="1" applyAlignment="1">
      <alignment horizontal="right"/>
    </xf>
    <xf numFmtId="0" fontId="12" fillId="2" borderId="26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/>
    </xf>
    <xf numFmtId="0" fontId="8" fillId="2" borderId="0" xfId="0" applyFont="1" applyFill="1" applyAlignment="1">
      <alignment horizontal="left" indent="5"/>
    </xf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  <color rgb="FF00843D"/>
      <color rgb="FF64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'P&amp;L'!$F$11</c:f>
              <c:strCache>
                <c:ptCount val="1"/>
                <c:pt idx="0">
                  <c:v> Prorated Budget </c:v>
                </c:pt>
              </c:strCache>
            </c:strRef>
          </c:tx>
          <c:spPr>
            <a:solidFill>
              <a:srgbClr val="00843D"/>
            </a:solidFill>
            <a:ln>
              <a:solidFill>
                <a:srgbClr val="00843D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'P&amp;L'!$A$12</c:f>
              <c:strCache>
                <c:ptCount val="1"/>
                <c:pt idx="0">
                  <c:v>Relative Value Units (wRVUs)</c:v>
                </c:pt>
              </c:strCache>
            </c:strRef>
          </c:cat>
          <c:val>
            <c:numRef>
              <c:f>'P&amp;L'!$F$12</c:f>
              <c:numCache>
                <c:formatCode>_(* #,##0_);_(* \(#,##0\);_(* "-"??_);_(@_)</c:formatCode>
                <c:ptCount val="1"/>
                <c:pt idx="0">
                  <c:v>489.83333333333331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7-C840-AA33-047A205BBAE1}"/>
            </c:ext>
          </c:extLst>
        </c:ser>
        <c:ser>
          <c:idx val="1"/>
          <c:order val="1"/>
          <c:tx>
            <c:strRef>
              <c:f>'P&amp;L'!$G$11</c:f>
              <c:strCache>
                <c:ptCount val="1"/>
                <c:pt idx="0">
                  <c:v> YTD Actual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'P&amp;L'!$A$12</c:f>
              <c:strCache>
                <c:ptCount val="1"/>
                <c:pt idx="0">
                  <c:v>Relative Value Units (wRVUs)</c:v>
                </c:pt>
              </c:strCache>
            </c:strRef>
          </c:cat>
          <c:val>
            <c:numRef>
              <c:f>'P&amp;L'!$G$12</c:f>
              <c:numCache>
                <c:formatCode>_(* #,##0_);_(* \(#,##0\);_(* "-"??_);_(@_)</c:formatCode>
                <c:ptCount val="1"/>
                <c:pt idx="0">
                  <c:v>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7-C840-AA33-047A205BBAE1}"/>
            </c:ext>
          </c:extLst>
        </c:ser>
        <c:ser>
          <c:idx val="2"/>
          <c:order val="2"/>
          <c:tx>
            <c:strRef>
              <c:f>'P&amp;L'!$E$9</c:f>
              <c:strCache>
                <c:ptCount val="1"/>
                <c:pt idx="0">
                  <c:v> % Over/Below RVU Goal: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  <a:scene3d>
              <a:camera prst="orthographicFront"/>
              <a:lightRig rig="threePt" dir="t"/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'P&amp;L'!$H$9</c:f>
              <c:numCache>
                <c:formatCode>0%</c:formatCode>
                <c:ptCount val="1"/>
                <c:pt idx="0">
                  <c:v>3.813882272881933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F7-C840-AA33-047A205BB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2"/>
        <c:overlap val="-48"/>
        <c:axId val="816080416"/>
        <c:axId val="816080976"/>
      </c:barChart>
      <c:catAx>
        <c:axId val="8160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080976"/>
        <c:crosses val="autoZero"/>
        <c:auto val="1"/>
        <c:lblAlgn val="ctr"/>
        <c:lblOffset val="100"/>
        <c:noMultiLvlLbl val="0"/>
      </c:catAx>
      <c:valAx>
        <c:axId val="81608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0"/>
              <a:t>Charges</a:t>
            </a:r>
          </a:p>
        </c:rich>
      </c:tx>
      <c:layout>
        <c:manualLayout>
          <c:xMode val="edge"/>
          <c:yMode val="edge"/>
          <c:x val="0.51515191984662589"/>
          <c:y val="0.924018498474859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'P&amp;L'!$F$11</c:f>
              <c:strCache>
                <c:ptCount val="1"/>
                <c:pt idx="0">
                  <c:v> Prorated Budget </c:v>
                </c:pt>
              </c:strCache>
            </c:strRef>
          </c:tx>
          <c:spPr>
            <a:solidFill>
              <a:srgbClr val="00843D"/>
            </a:solidFill>
            <a:ln>
              <a:solidFill>
                <a:srgbClr val="00843D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'P&amp;L'!$F$13:$F$15</c:f>
              <c:numCache>
                <c:formatCode>_(* #,##0_);_(* \(#,##0\);_(* "-"??_);_(@_)</c:formatCode>
                <c:ptCount val="3"/>
                <c:pt idx="0">
                  <c:v>368.16666666666669</c:v>
                </c:pt>
                <c:pt idx="2" formatCode="#,##0_);[Red]\(#,##0\)">
                  <c:v>51932.166666666664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A-4644-8A90-DF1B96CBA2A2}"/>
            </c:ext>
          </c:extLst>
        </c:ser>
        <c:ser>
          <c:idx val="1"/>
          <c:order val="1"/>
          <c:tx>
            <c:strRef>
              <c:f>'P&amp;L'!$G$11</c:f>
              <c:strCache>
                <c:ptCount val="1"/>
                <c:pt idx="0">
                  <c:v> YTD Actual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numFmt formatCode="_(* #,##0_);_(* \(#,##0\);_(* &quot;-&quot;??_);_(@_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33B-441A-8588-DDF1ADF163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'P&amp;L'!$G$13:$G$15</c:f>
              <c:numCache>
                <c:formatCode>_(* #,##0_);_(* \(#,##0\);_(* "-"??_);_(@_)</c:formatCode>
                <c:ptCount val="3"/>
                <c:pt idx="0">
                  <c:v>5195</c:v>
                </c:pt>
                <c:pt idx="2" formatCode="#,##0_);[Red]\(#,##0\)">
                  <c:v>320176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A-4644-8A90-DF1B96CBA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-22"/>
        <c:axId val="1024426176"/>
        <c:axId val="1024426736"/>
      </c:barChart>
      <c:catAx>
        <c:axId val="102442617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Encounters</a:t>
                </a:r>
              </a:p>
            </c:rich>
          </c:tx>
          <c:layout>
            <c:manualLayout>
              <c:xMode val="edge"/>
              <c:yMode val="edge"/>
              <c:x val="0.19591175650088735"/>
              <c:y val="0.92750576560960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crossAx val="1024426736"/>
        <c:crosses val="autoZero"/>
        <c:auto val="1"/>
        <c:lblAlgn val="ctr"/>
        <c:lblOffset val="100"/>
        <c:noMultiLvlLbl val="0"/>
      </c:catAx>
      <c:valAx>
        <c:axId val="102442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4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tif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71388</xdr:colOff>
      <xdr:row>33</xdr:row>
      <xdr:rowOff>17596</xdr:rowOff>
    </xdr:from>
    <xdr:to>
      <xdr:col>12</xdr:col>
      <xdr:colOff>599209</xdr:colOff>
      <xdr:row>62</xdr:row>
      <xdr:rowOff>77355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65630</xdr:colOff>
      <xdr:row>0</xdr:row>
      <xdr:rowOff>57649</xdr:rowOff>
    </xdr:from>
    <xdr:to>
      <xdr:col>12</xdr:col>
      <xdr:colOff>609601</xdr:colOff>
      <xdr:row>29</xdr:row>
      <xdr:rowOff>175491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51953</xdr:colOff>
      <xdr:row>0</xdr:row>
      <xdr:rowOff>70426</xdr:rowOff>
    </xdr:from>
    <xdr:to>
      <xdr:col>5</xdr:col>
      <xdr:colOff>238125</xdr:colOff>
      <xdr:row>4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FB5AB2-0CED-7A44-AEDB-958B6D8A4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3178" y="70426"/>
          <a:ext cx="2662672" cy="716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zoomScaleNormal="110" workbookViewId="0">
      <selection activeCell="E16" sqref="E16"/>
    </sheetView>
  </sheetViews>
  <sheetFormatPr defaultColWidth="9" defaultRowHeight="12.75"/>
  <cols>
    <col min="1" max="1" width="28.625" style="11" customWidth="1"/>
    <col min="2" max="2" width="8.5" style="11" customWidth="1"/>
    <col min="3" max="3" width="10.5" style="11" bestFit="1" customWidth="1"/>
    <col min="4" max="4" width="1.375" style="11" customWidth="1"/>
    <col min="5" max="5" width="12.125" style="11" bestFit="1" customWidth="1"/>
    <col min="6" max="6" width="13.5" style="11" bestFit="1" customWidth="1"/>
    <col min="7" max="7" width="9.5" style="11" bestFit="1" customWidth="1"/>
    <col min="8" max="8" width="8.125" style="11" bestFit="1" customWidth="1"/>
    <col min="9" max="9" width="9.375" style="11" customWidth="1"/>
    <col min="10" max="10" width="55.375" style="11" customWidth="1"/>
    <col min="11" max="16384" width="9" style="11"/>
  </cols>
  <sheetData>
    <row r="1" spans="1: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5.75">
      <c r="A6" s="89" t="s">
        <v>0</v>
      </c>
      <c r="B6" s="89"/>
      <c r="C6" s="89"/>
      <c r="D6" s="89"/>
      <c r="E6" s="89"/>
      <c r="F6" s="89"/>
      <c r="G6" s="89"/>
      <c r="H6" s="89"/>
      <c r="I6" s="10"/>
      <c r="J6" s="10"/>
      <c r="K6" s="10"/>
      <c r="L6" s="10"/>
      <c r="M6" s="10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3.5" thickBot="1">
      <c r="A8" s="87" t="s">
        <v>1</v>
      </c>
      <c r="B8" s="88"/>
      <c r="C8" s="12">
        <v>0.6</v>
      </c>
      <c r="D8" s="13"/>
      <c r="E8" s="14" t="s">
        <v>2</v>
      </c>
      <c r="F8" s="15">
        <v>2</v>
      </c>
      <c r="G8" s="16" t="s">
        <v>3</v>
      </c>
      <c r="H8" s="17" t="s">
        <v>4</v>
      </c>
      <c r="I8" s="18"/>
      <c r="J8" s="10"/>
      <c r="K8" s="10"/>
      <c r="L8" s="10"/>
      <c r="M8" s="10"/>
    </row>
    <row r="9" spans="1:13" ht="13.5" thickBot="1">
      <c r="A9" s="87" t="s">
        <v>5</v>
      </c>
      <c r="B9" s="88"/>
      <c r="C9" s="19">
        <v>44378</v>
      </c>
      <c r="D9" s="13"/>
      <c r="E9" s="94" t="s">
        <v>6</v>
      </c>
      <c r="F9" s="95"/>
      <c r="G9" s="95"/>
      <c r="H9" s="75">
        <f>H12/F12</f>
        <v>3.813882272881933</v>
      </c>
      <c r="I9" s="20"/>
      <c r="J9" s="10"/>
      <c r="K9" s="10"/>
      <c r="L9" s="10"/>
      <c r="M9" s="10"/>
    </row>
    <row r="10" spans="1:13" ht="14.25" thickBot="1">
      <c r="A10" s="85" t="s">
        <v>7</v>
      </c>
      <c r="B10" s="86"/>
      <c r="C10" s="21">
        <v>130000</v>
      </c>
      <c r="D10" s="13"/>
      <c r="E10" s="91" t="s">
        <v>8</v>
      </c>
      <c r="F10" s="92"/>
      <c r="G10" s="92"/>
      <c r="H10" s="93"/>
      <c r="I10" s="22"/>
      <c r="J10" s="10"/>
      <c r="K10" s="23"/>
      <c r="L10" s="10"/>
      <c r="M10" s="10"/>
    </row>
    <row r="11" spans="1:13">
      <c r="A11" s="98" t="s">
        <v>9</v>
      </c>
      <c r="B11" s="99"/>
      <c r="C11" s="100"/>
      <c r="D11" s="13"/>
      <c r="E11" s="24" t="s">
        <v>10</v>
      </c>
      <c r="F11" s="24" t="s">
        <v>11</v>
      </c>
      <c r="G11" s="24" t="s">
        <v>12</v>
      </c>
      <c r="H11" s="25" t="s">
        <v>13</v>
      </c>
      <c r="I11" s="26"/>
      <c r="J11" s="10"/>
      <c r="K11" s="23"/>
      <c r="L11" s="10"/>
      <c r="M11" s="10"/>
    </row>
    <row r="12" spans="1:13">
      <c r="A12" s="104" t="s">
        <v>14</v>
      </c>
      <c r="B12" s="104"/>
      <c r="C12" s="104"/>
      <c r="D12" s="27"/>
      <c r="E12" s="28">
        <v>2939</v>
      </c>
      <c r="F12" s="29">
        <f>E12/12*$F$8</f>
        <v>489.83333333333331</v>
      </c>
      <c r="G12" s="29">
        <f>Data!C15</f>
        <v>2358</v>
      </c>
      <c r="H12" s="30">
        <f>G12-F12</f>
        <v>1868.1666666666667</v>
      </c>
      <c r="I12" s="31"/>
      <c r="J12" s="10"/>
      <c r="K12" s="23"/>
      <c r="L12" s="10"/>
      <c r="M12" s="10"/>
    </row>
    <row r="13" spans="1:13">
      <c r="A13" s="101" t="s">
        <v>15</v>
      </c>
      <c r="B13" s="102"/>
      <c r="C13" s="103"/>
      <c r="D13" s="27"/>
      <c r="E13" s="32">
        <v>2209</v>
      </c>
      <c r="F13" s="33">
        <f>E13/12*$F$8</f>
        <v>368.16666666666669</v>
      </c>
      <c r="G13" s="33">
        <f>Data!B15</f>
        <v>5195</v>
      </c>
      <c r="H13" s="34">
        <f>G13-F13</f>
        <v>4826.833333333333</v>
      </c>
      <c r="I13" s="31"/>
      <c r="J13" s="10"/>
      <c r="K13" s="23"/>
      <c r="L13" s="10"/>
      <c r="M13" s="10"/>
    </row>
    <row r="14" spans="1:13" ht="20.100000000000001" customHeight="1">
      <c r="A14" s="35" t="s">
        <v>16</v>
      </c>
      <c r="B14" s="36"/>
      <c r="C14" s="36"/>
      <c r="D14" s="37"/>
      <c r="E14" s="31"/>
      <c r="F14" s="31"/>
      <c r="G14" s="31"/>
      <c r="H14" s="31"/>
      <c r="I14" s="38"/>
      <c r="K14" s="39"/>
    </row>
    <row r="15" spans="1:13">
      <c r="A15" s="90" t="s">
        <v>17</v>
      </c>
      <c r="B15" s="90"/>
      <c r="C15" s="90"/>
      <c r="D15" s="13"/>
      <c r="E15" s="40">
        <v>311593</v>
      </c>
      <c r="F15" s="41">
        <f>E15/12*$F$8</f>
        <v>51932.166666666664</v>
      </c>
      <c r="G15" s="41">
        <f>Data!D15</f>
        <v>320176</v>
      </c>
      <c r="H15" s="41">
        <f>G15-F15</f>
        <v>268243.83333333331</v>
      </c>
      <c r="I15" s="41"/>
      <c r="J15" s="10"/>
      <c r="K15" s="23"/>
      <c r="L15" s="10"/>
      <c r="M15" s="10"/>
    </row>
    <row r="16" spans="1:13">
      <c r="A16" s="90" t="s">
        <v>18</v>
      </c>
      <c r="B16" s="90"/>
      <c r="C16" s="90"/>
      <c r="D16" s="13"/>
      <c r="E16" s="74">
        <f>E15*-67%</f>
        <v>-208767.31000000003</v>
      </c>
      <c r="F16" s="41">
        <f t="shared" ref="F16:F20" si="0">E16/12*$F$8</f>
        <v>-34794.551666666674</v>
      </c>
      <c r="G16" s="41">
        <f>Data!E15</f>
        <v>-151901.58749999999</v>
      </c>
      <c r="H16" s="41">
        <f t="shared" ref="H16:H20" si="1">G16-F16</f>
        <v>-117107.03583333333</v>
      </c>
      <c r="I16" s="41"/>
      <c r="J16" s="10"/>
      <c r="K16" s="23"/>
      <c r="L16" s="10"/>
      <c r="M16" s="10"/>
    </row>
    <row r="17" spans="1:13" ht="5.0999999999999996" customHeight="1" thickBot="1">
      <c r="A17" s="42"/>
      <c r="B17" s="42"/>
      <c r="C17" s="42"/>
      <c r="D17" s="13"/>
      <c r="E17" s="43"/>
      <c r="F17" s="44"/>
      <c r="G17" s="44"/>
      <c r="H17" s="44"/>
      <c r="I17" s="41"/>
      <c r="J17" s="10"/>
      <c r="K17" s="23"/>
      <c r="L17" s="10"/>
      <c r="M17" s="10"/>
    </row>
    <row r="18" spans="1:13">
      <c r="A18" s="45" t="s">
        <v>19</v>
      </c>
      <c r="B18" s="45"/>
      <c r="C18" s="45"/>
      <c r="D18" s="46"/>
      <c r="E18" s="47">
        <f>SUM(E15:E16)</f>
        <v>102825.68999999997</v>
      </c>
      <c r="F18" s="47">
        <f t="shared" ref="F18:H18" si="2">SUM(F15:F16)</f>
        <v>17137.614999999991</v>
      </c>
      <c r="G18" s="47">
        <f t="shared" si="2"/>
        <v>168274.41250000001</v>
      </c>
      <c r="H18" s="47">
        <f t="shared" si="2"/>
        <v>151136.79749999999</v>
      </c>
      <c r="I18" s="41"/>
      <c r="J18" s="10"/>
      <c r="K18" s="23"/>
      <c r="L18" s="10"/>
      <c r="M18" s="10"/>
    </row>
    <row r="19" spans="1:13">
      <c r="A19" s="90" t="s">
        <v>20</v>
      </c>
      <c r="B19" s="90"/>
      <c r="C19" s="90"/>
      <c r="D19" s="13"/>
      <c r="E19" s="74">
        <f>E15*-3%</f>
        <v>-9347.7899999999991</v>
      </c>
      <c r="F19" s="41">
        <f t="shared" si="0"/>
        <v>-1557.9649999999999</v>
      </c>
      <c r="G19" s="41">
        <f>Data!F15</f>
        <v>-7010.8424999999997</v>
      </c>
      <c r="H19" s="41">
        <f t="shared" si="1"/>
        <v>-5452.8774999999996</v>
      </c>
      <c r="I19" s="41"/>
      <c r="J19" s="10"/>
      <c r="K19" s="23"/>
      <c r="L19" s="10"/>
      <c r="M19" s="10"/>
    </row>
    <row r="20" spans="1:13">
      <c r="A20" s="90" t="s">
        <v>21</v>
      </c>
      <c r="B20" s="90"/>
      <c r="C20" s="90"/>
      <c r="D20" s="13"/>
      <c r="E20" s="74">
        <f>-E15*17%</f>
        <v>-52970.810000000005</v>
      </c>
      <c r="F20" s="41">
        <f t="shared" si="0"/>
        <v>-8828.4683333333342</v>
      </c>
      <c r="G20" s="41">
        <f>Data!G15</f>
        <v>-39728.107500000013</v>
      </c>
      <c r="H20" s="41">
        <f t="shared" si="1"/>
        <v>-30899.639166666679</v>
      </c>
      <c r="I20" s="41"/>
      <c r="J20" s="10"/>
      <c r="K20" s="23"/>
      <c r="L20" s="10"/>
      <c r="M20" s="10"/>
    </row>
    <row r="21" spans="1:13" ht="6.95" customHeight="1" thickBot="1">
      <c r="A21" s="42"/>
      <c r="B21" s="42"/>
      <c r="C21" s="42"/>
      <c r="D21" s="13"/>
      <c r="E21" s="48"/>
      <c r="F21" s="44"/>
      <c r="G21" s="44"/>
      <c r="H21" s="44"/>
      <c r="I21" s="41"/>
      <c r="J21" s="10"/>
      <c r="K21" s="23"/>
      <c r="L21" s="10"/>
      <c r="M21" s="10"/>
    </row>
    <row r="22" spans="1:13">
      <c r="A22" s="96" t="s">
        <v>22</v>
      </c>
      <c r="B22" s="96"/>
      <c r="C22" s="96"/>
      <c r="D22" s="46"/>
      <c r="E22" s="47">
        <f>SUM(E18:E21)</f>
        <v>40507.089999999975</v>
      </c>
      <c r="F22" s="47">
        <f t="shared" ref="F22:H22" si="3">SUM(F18:F21)</f>
        <v>6751.1816666666564</v>
      </c>
      <c r="G22" s="47">
        <f t="shared" si="3"/>
        <v>121535.46249999999</v>
      </c>
      <c r="H22" s="47">
        <f t="shared" si="3"/>
        <v>114784.28083333331</v>
      </c>
      <c r="I22" s="41"/>
      <c r="J22" s="10"/>
      <c r="K22" s="23"/>
      <c r="L22" s="10"/>
      <c r="M22" s="10"/>
    </row>
    <row r="23" spans="1:13" ht="9.9499999999999993" customHeight="1">
      <c r="A23" s="10"/>
      <c r="B23" s="10"/>
      <c r="C23" s="10"/>
      <c r="D23" s="10"/>
      <c r="E23" s="41"/>
      <c r="F23" s="10"/>
      <c r="G23" s="10"/>
      <c r="H23" s="10"/>
      <c r="I23" s="49"/>
      <c r="J23" s="10"/>
      <c r="K23" s="23"/>
      <c r="L23" s="10"/>
      <c r="M23" s="10"/>
    </row>
    <row r="24" spans="1:13">
      <c r="A24" s="90" t="s">
        <v>23</v>
      </c>
      <c r="B24" s="90"/>
      <c r="C24" s="90"/>
      <c r="D24" s="13"/>
      <c r="E24" s="74">
        <f>Data!I15</f>
        <v>18000</v>
      </c>
      <c r="F24" s="41">
        <f>E24/12*$F$8</f>
        <v>3000</v>
      </c>
      <c r="G24" s="41">
        <f>Data!I15</f>
        <v>18000</v>
      </c>
      <c r="H24" s="41">
        <f>G24-F24</f>
        <v>15000</v>
      </c>
      <c r="I24" s="41"/>
      <c r="J24" s="10"/>
      <c r="K24" s="23"/>
      <c r="L24" s="10"/>
      <c r="M24" s="10"/>
    </row>
    <row r="25" spans="1:13">
      <c r="A25" s="90" t="s">
        <v>24</v>
      </c>
      <c r="B25" s="90"/>
      <c r="C25" s="90"/>
      <c r="D25" s="13"/>
      <c r="E25" s="74">
        <f>Data!J15</f>
        <v>9900</v>
      </c>
      <c r="F25" s="41">
        <f>E25/12*$F$8</f>
        <v>1650</v>
      </c>
      <c r="G25" s="41">
        <f>Data!J15</f>
        <v>9900</v>
      </c>
      <c r="H25" s="41">
        <f>G25-F25</f>
        <v>8250</v>
      </c>
      <c r="I25" s="41"/>
      <c r="J25" s="10"/>
      <c r="K25" s="23"/>
      <c r="L25" s="10"/>
      <c r="M25" s="10"/>
    </row>
    <row r="26" spans="1:13">
      <c r="A26" s="90" t="s">
        <v>25</v>
      </c>
      <c r="B26" s="90"/>
      <c r="C26" s="90"/>
      <c r="D26" s="13"/>
      <c r="E26" s="74">
        <f>Data!K15</f>
        <v>11070</v>
      </c>
      <c r="F26" s="41">
        <f>E26/12*$F$8</f>
        <v>1845</v>
      </c>
      <c r="G26" s="41">
        <f>Data!K15</f>
        <v>11070</v>
      </c>
      <c r="H26" s="41">
        <f>G26-F26</f>
        <v>9225</v>
      </c>
      <c r="I26" s="41"/>
      <c r="J26" s="10"/>
      <c r="K26" s="23"/>
      <c r="L26" s="10"/>
      <c r="M26" s="10"/>
    </row>
    <row r="27" spans="1:13">
      <c r="A27" s="90" t="s">
        <v>26</v>
      </c>
      <c r="B27" s="90"/>
      <c r="C27" s="90"/>
      <c r="D27" s="13"/>
      <c r="E27" s="40">
        <v>15000</v>
      </c>
      <c r="F27" s="41">
        <f>E27/12*$F$8</f>
        <v>2500</v>
      </c>
      <c r="G27" s="41">
        <f>Data!L15</f>
        <v>4500</v>
      </c>
      <c r="H27" s="41">
        <f>G27-F27</f>
        <v>2000</v>
      </c>
      <c r="I27" s="41"/>
      <c r="J27" s="10"/>
      <c r="K27" s="23"/>
      <c r="L27" s="10"/>
      <c r="M27" s="10"/>
    </row>
    <row r="28" spans="1:13">
      <c r="A28" s="90" t="s">
        <v>27</v>
      </c>
      <c r="B28" s="90"/>
      <c r="C28" s="90"/>
      <c r="D28" s="10"/>
      <c r="E28" s="73">
        <f>E49</f>
        <v>47041</v>
      </c>
      <c r="F28" s="41">
        <f>E28/12*$F$8</f>
        <v>7840.166666666667</v>
      </c>
      <c r="G28" s="41">
        <f>Data!M15</f>
        <v>10800</v>
      </c>
      <c r="H28" s="41">
        <f>G28-F28</f>
        <v>2959.833333333333</v>
      </c>
      <c r="I28" s="41"/>
      <c r="J28" s="10"/>
      <c r="K28" s="23"/>
      <c r="L28" s="10"/>
      <c r="M28" s="10"/>
    </row>
    <row r="29" spans="1:13" ht="3.95" customHeight="1" thickBot="1">
      <c r="A29" s="42"/>
      <c r="B29" s="42"/>
      <c r="C29" s="42"/>
      <c r="D29" s="10"/>
      <c r="E29" s="44"/>
      <c r="F29" s="44"/>
      <c r="G29" s="44"/>
      <c r="H29" s="44"/>
      <c r="I29" s="41"/>
      <c r="J29" s="10"/>
      <c r="K29" s="23"/>
      <c r="L29" s="10"/>
      <c r="M29" s="10"/>
    </row>
    <row r="30" spans="1:13">
      <c r="A30" s="96" t="s">
        <v>28</v>
      </c>
      <c r="B30" s="96"/>
      <c r="C30" s="96"/>
      <c r="D30" s="18"/>
      <c r="E30" s="51">
        <f>SUM(E24:E28)</f>
        <v>101011</v>
      </c>
      <c r="F30" s="51">
        <f>SUM(F24:F28)</f>
        <v>16835.166666666668</v>
      </c>
      <c r="G30" s="51">
        <f>SUM(G24:G28)</f>
        <v>54270</v>
      </c>
      <c r="H30" s="51">
        <f>SUM(H24:H28)</f>
        <v>37434.833333333336</v>
      </c>
      <c r="I30" s="51"/>
      <c r="J30" s="10"/>
      <c r="K30" s="23"/>
      <c r="L30" s="10"/>
      <c r="M30" s="10"/>
    </row>
    <row r="31" spans="1:13" ht="5.0999999999999996" customHeight="1">
      <c r="A31" s="45"/>
      <c r="B31" s="45"/>
      <c r="C31" s="45"/>
      <c r="D31" s="18"/>
      <c r="E31" s="51"/>
      <c r="F31" s="51"/>
      <c r="G31" s="51"/>
      <c r="H31" s="51"/>
      <c r="I31" s="51"/>
      <c r="J31" s="10"/>
      <c r="K31" s="23"/>
      <c r="L31" s="10"/>
      <c r="M31" s="10"/>
    </row>
    <row r="32" spans="1:13" ht="13.5" thickBot="1">
      <c r="A32" s="105" t="s">
        <v>29</v>
      </c>
      <c r="B32" s="105"/>
      <c r="C32" s="105"/>
      <c r="D32" s="18"/>
      <c r="E32" s="52">
        <f>E22+E30</f>
        <v>141518.08999999997</v>
      </c>
      <c r="F32" s="52">
        <f t="shared" ref="F32:H32" si="4">F22+F30</f>
        <v>23586.348333333324</v>
      </c>
      <c r="G32" s="52">
        <f t="shared" si="4"/>
        <v>175805.46249999999</v>
      </c>
      <c r="H32" s="52">
        <f t="shared" si="4"/>
        <v>152219.11416666664</v>
      </c>
      <c r="I32" s="51"/>
      <c r="J32" s="10"/>
      <c r="K32" s="23"/>
      <c r="L32" s="10"/>
      <c r="M32" s="10"/>
    </row>
    <row r="33" spans="1:13">
      <c r="A33" s="53"/>
      <c r="B33" s="53"/>
      <c r="C33" s="53"/>
      <c r="D33" s="18"/>
      <c r="E33" s="51"/>
      <c r="F33" s="51"/>
      <c r="G33" s="51"/>
      <c r="H33" s="51"/>
      <c r="I33" s="51"/>
      <c r="J33" s="10"/>
      <c r="K33" s="23"/>
      <c r="L33" s="10"/>
      <c r="M33" s="10"/>
    </row>
    <row r="34" spans="1:13">
      <c r="A34" s="97" t="s">
        <v>30</v>
      </c>
      <c r="B34" s="97"/>
      <c r="C34" s="97"/>
      <c r="D34" s="10"/>
      <c r="E34" s="41"/>
      <c r="F34" s="41"/>
      <c r="G34" s="41"/>
      <c r="H34" s="41"/>
      <c r="I34" s="41"/>
      <c r="J34" s="10"/>
      <c r="K34" s="23"/>
      <c r="L34" s="10"/>
      <c r="M34" s="10"/>
    </row>
    <row r="35" spans="1:13">
      <c r="A35" s="18" t="s">
        <v>31</v>
      </c>
      <c r="B35" s="18"/>
      <c r="C35" s="18" t="s">
        <v>32</v>
      </c>
      <c r="D35" s="10"/>
      <c r="E35" s="41"/>
      <c r="F35" s="41"/>
      <c r="G35" s="41"/>
      <c r="H35" s="41"/>
      <c r="I35" s="41"/>
      <c r="J35" s="10"/>
      <c r="K35" s="23"/>
      <c r="L35" s="10"/>
      <c r="M35" s="10"/>
    </row>
    <row r="36" spans="1:13">
      <c r="A36" s="54" t="s">
        <v>33</v>
      </c>
      <c r="B36" s="55"/>
      <c r="C36" s="56">
        <f>E36/$C$10</f>
        <v>7.434615384615384E-2</v>
      </c>
      <c r="D36" s="10"/>
      <c r="E36" s="50">
        <v>9665</v>
      </c>
      <c r="F36" s="41">
        <f>E36/12*$F$8</f>
        <v>1610.8333333333333</v>
      </c>
      <c r="G36" s="50">
        <v>7248.75</v>
      </c>
      <c r="H36" s="41">
        <f>F36-G36</f>
        <v>-5637.916666666667</v>
      </c>
      <c r="I36" s="41"/>
      <c r="J36" s="10"/>
      <c r="K36" s="23"/>
      <c r="L36" s="10"/>
      <c r="M36" s="10"/>
    </row>
    <row r="37" spans="1:13">
      <c r="A37" s="54" t="s">
        <v>34</v>
      </c>
      <c r="B37" s="10"/>
      <c r="C37" s="56">
        <f>E37/$C$10</f>
        <v>0.14494615384615384</v>
      </c>
      <c r="D37" s="10"/>
      <c r="E37" s="50">
        <v>18843</v>
      </c>
      <c r="F37" s="41">
        <f>E37/12*$F$8</f>
        <v>3140.5</v>
      </c>
      <c r="G37" s="50">
        <v>14132.25</v>
      </c>
      <c r="H37" s="41">
        <f t="shared" ref="H37:H39" si="5">F37-G37</f>
        <v>-10991.75</v>
      </c>
      <c r="I37" s="41"/>
      <c r="J37" s="10"/>
      <c r="K37" s="10"/>
      <c r="L37" s="10"/>
      <c r="M37" s="10"/>
    </row>
    <row r="38" spans="1:13">
      <c r="A38" s="54" t="s">
        <v>35</v>
      </c>
      <c r="B38" s="10"/>
      <c r="C38" s="57">
        <f>E38/$C$10</f>
        <v>0.05</v>
      </c>
      <c r="D38" s="10"/>
      <c r="E38" s="50">
        <v>6500</v>
      </c>
      <c r="F38" s="41">
        <f>E38/12*$F$8</f>
        <v>1083.3333333333333</v>
      </c>
      <c r="G38" s="50">
        <v>4875</v>
      </c>
      <c r="H38" s="41">
        <f t="shared" si="5"/>
        <v>-3791.666666666667</v>
      </c>
      <c r="I38" s="41"/>
      <c r="J38" s="10"/>
      <c r="K38" s="10"/>
      <c r="L38" s="10"/>
      <c r="M38" s="10"/>
    </row>
    <row r="39" spans="1:13">
      <c r="A39" s="54" t="s">
        <v>36</v>
      </c>
      <c r="B39" s="18"/>
      <c r="C39" s="58">
        <f>E39/$C$10</f>
        <v>0.36885384615384614</v>
      </c>
      <c r="D39" s="18"/>
      <c r="E39" s="50">
        <v>47951</v>
      </c>
      <c r="F39" s="41">
        <f>E39/12*$F$8</f>
        <v>7991.833333333333</v>
      </c>
      <c r="G39" s="59">
        <v>35963.25</v>
      </c>
      <c r="H39" s="41">
        <f t="shared" si="5"/>
        <v>-27971.416666666668</v>
      </c>
      <c r="I39" s="41"/>
      <c r="J39" s="10"/>
      <c r="K39" s="10"/>
      <c r="L39" s="10"/>
      <c r="M39" s="10"/>
    </row>
    <row r="40" spans="1:13" ht="3.95" customHeight="1" thickBot="1">
      <c r="A40" s="10"/>
      <c r="B40" s="18"/>
      <c r="C40" s="60"/>
      <c r="D40" s="18"/>
      <c r="E40" s="61"/>
      <c r="F40" s="61"/>
      <c r="G40" s="52"/>
      <c r="H40" s="61"/>
      <c r="I40" s="41"/>
      <c r="J40" s="10"/>
      <c r="K40" s="10"/>
      <c r="L40" s="10"/>
      <c r="M40" s="10"/>
    </row>
    <row r="41" spans="1:13" ht="13.5" thickBot="1">
      <c r="A41" s="18" t="s">
        <v>37</v>
      </c>
      <c r="B41" s="18"/>
      <c r="C41" s="78">
        <f>SUM(C36:C39)</f>
        <v>0.63814615384615381</v>
      </c>
      <c r="D41" s="10"/>
      <c r="E41" s="51">
        <f>SUM(E36:E39)</f>
        <v>82959</v>
      </c>
      <c r="F41" s="51">
        <f>SUM(F36:F39)</f>
        <v>13826.5</v>
      </c>
      <c r="G41" s="51">
        <f>SUM(G36:G39)</f>
        <v>62219.25</v>
      </c>
      <c r="H41" s="51">
        <f>SUM(H36:H39)</f>
        <v>-48392.75</v>
      </c>
      <c r="I41" s="51"/>
      <c r="J41" s="10"/>
      <c r="K41" s="10"/>
      <c r="L41" s="10"/>
      <c r="M41" s="10"/>
    </row>
    <row r="42" spans="1:13">
      <c r="A42" s="10"/>
      <c r="B42" s="10"/>
      <c r="C42" s="10"/>
      <c r="D42" s="10"/>
      <c r="E42" s="41"/>
      <c r="F42" s="41"/>
      <c r="G42" s="41"/>
      <c r="H42" s="41"/>
      <c r="I42" s="41"/>
      <c r="J42" s="10"/>
      <c r="K42" s="10"/>
      <c r="L42" s="10"/>
      <c r="M42" s="10"/>
    </row>
    <row r="43" spans="1:13">
      <c r="A43" s="10" t="s">
        <v>38</v>
      </c>
      <c r="B43" s="10"/>
      <c r="C43" s="56">
        <f>E43/$C$10</f>
        <v>0.09</v>
      </c>
      <c r="D43" s="10"/>
      <c r="E43" s="50">
        <v>11700</v>
      </c>
      <c r="F43" s="41">
        <f>E43/12*$F$8</f>
        <v>1950</v>
      </c>
      <c r="G43" s="50">
        <v>8775</v>
      </c>
      <c r="H43" s="41">
        <f>F43-G43</f>
        <v>-6825</v>
      </c>
      <c r="I43" s="41"/>
      <c r="J43" s="10"/>
      <c r="K43" s="10"/>
      <c r="L43" s="10"/>
      <c r="M43" s="10"/>
    </row>
    <row r="44" spans="1:13">
      <c r="A44" s="10"/>
      <c r="B44" s="10"/>
      <c r="C44" s="56">
        <f>E44/$C$10</f>
        <v>0.09</v>
      </c>
      <c r="D44" s="10"/>
      <c r="E44" s="50">
        <v>11700</v>
      </c>
      <c r="F44" s="41">
        <f>E44/12*$F$8</f>
        <v>1950</v>
      </c>
      <c r="G44" s="50">
        <v>8775</v>
      </c>
      <c r="H44" s="41">
        <f t="shared" ref="H44:H47" si="6">F44-G44</f>
        <v>-6825</v>
      </c>
      <c r="I44" s="41"/>
      <c r="J44" s="10"/>
      <c r="K44" s="10"/>
      <c r="L44" s="10"/>
      <c r="M44" s="10"/>
    </row>
    <row r="45" spans="1:13">
      <c r="A45" s="10"/>
      <c r="B45" s="10"/>
      <c r="C45" s="57">
        <f>E45/$C$10</f>
        <v>0.09</v>
      </c>
      <c r="D45" s="10"/>
      <c r="E45" s="50">
        <v>11700</v>
      </c>
      <c r="F45" s="41">
        <f>E45/12*$F$8</f>
        <v>1950</v>
      </c>
      <c r="G45" s="50">
        <v>8775</v>
      </c>
      <c r="H45" s="41">
        <f t="shared" si="6"/>
        <v>-6825</v>
      </c>
      <c r="I45" s="41"/>
      <c r="J45" s="10"/>
      <c r="K45" s="10"/>
      <c r="L45" s="10"/>
      <c r="M45" s="10"/>
    </row>
    <row r="46" spans="1:13">
      <c r="A46" s="10"/>
      <c r="B46" s="10"/>
      <c r="C46" s="58">
        <f>E46/$C$10</f>
        <v>0.09</v>
      </c>
      <c r="D46" s="10"/>
      <c r="E46" s="50">
        <v>11700</v>
      </c>
      <c r="F46" s="41">
        <f>E46/12*$F$8</f>
        <v>1950</v>
      </c>
      <c r="G46" s="50">
        <v>8775</v>
      </c>
      <c r="H46" s="41">
        <f t="shared" si="6"/>
        <v>-6825</v>
      </c>
      <c r="I46" s="41"/>
      <c r="J46" s="10"/>
      <c r="K46" s="10"/>
      <c r="L46" s="10"/>
      <c r="M46" s="10"/>
    </row>
    <row r="47" spans="1:13">
      <c r="A47" s="62"/>
      <c r="B47" s="62"/>
      <c r="C47" s="58">
        <f>E47/$C$10</f>
        <v>1.8538461538461538E-3</v>
      </c>
      <c r="D47" s="10"/>
      <c r="E47" s="50">
        <v>241</v>
      </c>
      <c r="F47" s="41">
        <f>E47/12*$F$8</f>
        <v>40.166666666666664</v>
      </c>
      <c r="G47" s="50">
        <v>180.75</v>
      </c>
      <c r="H47" s="41">
        <f t="shared" si="6"/>
        <v>-140.58333333333334</v>
      </c>
      <c r="I47" s="41"/>
      <c r="J47" s="10"/>
      <c r="K47" s="10"/>
      <c r="L47" s="10"/>
      <c r="M47" s="10"/>
    </row>
    <row r="48" spans="1:13" ht="3.95" customHeight="1" thickBot="1">
      <c r="A48" s="62"/>
      <c r="B48" s="62"/>
      <c r="C48" s="60"/>
      <c r="D48" s="10"/>
      <c r="E48" s="61"/>
      <c r="F48" s="61"/>
      <c r="G48" s="61"/>
      <c r="H48" s="61"/>
      <c r="I48" s="41"/>
      <c r="J48" s="10"/>
      <c r="K48" s="10"/>
      <c r="L48" s="10"/>
      <c r="M48" s="10"/>
    </row>
    <row r="49" spans="1:13" ht="13.5" thickBot="1">
      <c r="A49" s="63" t="s">
        <v>39</v>
      </c>
      <c r="B49" s="63"/>
      <c r="C49" s="77">
        <f>SUM(C43:C47)</f>
        <v>0.36185384615384614</v>
      </c>
      <c r="D49" s="18"/>
      <c r="E49" s="51">
        <f>SUM(E43:E47)</f>
        <v>47041</v>
      </c>
      <c r="F49" s="51">
        <f>SUM(F43:F47)</f>
        <v>7840.166666666667</v>
      </c>
      <c r="G49" s="51">
        <f>SUM(G43:G47)</f>
        <v>35280.75</v>
      </c>
      <c r="H49" s="51">
        <f>SUM(H43:H47)</f>
        <v>-27440.583333333332</v>
      </c>
      <c r="I49" s="51"/>
      <c r="J49" s="10"/>
      <c r="K49" s="10"/>
      <c r="L49" s="10"/>
      <c r="M49" s="10"/>
    </row>
    <row r="50" spans="1:13" ht="8.1" customHeight="1" thickBot="1">
      <c r="A50" s="63"/>
      <c r="B50" s="63"/>
      <c r="C50" s="64"/>
      <c r="D50" s="18"/>
      <c r="E50" s="51"/>
      <c r="F50" s="51"/>
      <c r="G50" s="51"/>
      <c r="H50" s="51"/>
      <c r="I50" s="51"/>
      <c r="J50" s="10"/>
      <c r="K50" s="10"/>
      <c r="L50" s="10"/>
      <c r="M50" s="10"/>
    </row>
    <row r="51" spans="1:13" ht="13.5" thickBot="1">
      <c r="A51" s="65" t="s">
        <v>40</v>
      </c>
      <c r="B51" s="65"/>
      <c r="C51" s="76">
        <f>C41+C49</f>
        <v>1</v>
      </c>
      <c r="D51" s="10"/>
      <c r="E51" s="41">
        <f>E41+E49</f>
        <v>130000</v>
      </c>
      <c r="F51" s="41">
        <f>F41+F49</f>
        <v>21666.666666666668</v>
      </c>
      <c r="G51" s="41">
        <f>G41+G49</f>
        <v>97500</v>
      </c>
      <c r="H51" s="41">
        <f>F51-G51</f>
        <v>-75833.333333333328</v>
      </c>
      <c r="I51" s="51"/>
      <c r="J51" s="10"/>
      <c r="K51" s="10"/>
      <c r="L51" s="10"/>
      <c r="M51" s="10"/>
    </row>
    <row r="52" spans="1:13">
      <c r="A52" s="66" t="s">
        <v>41</v>
      </c>
      <c r="B52" s="62"/>
      <c r="C52" s="62"/>
      <c r="D52" s="10"/>
      <c r="E52" s="41">
        <f>E51*24%</f>
        <v>31200</v>
      </c>
      <c r="F52" s="41">
        <f>E52/12*F8</f>
        <v>5200</v>
      </c>
      <c r="G52" s="41">
        <v>23400</v>
      </c>
      <c r="H52" s="41">
        <f>F52-G52</f>
        <v>-18200</v>
      </c>
      <c r="I52" s="41"/>
      <c r="J52" s="10"/>
      <c r="K52" s="10"/>
      <c r="L52" s="10"/>
      <c r="M52" s="10"/>
    </row>
    <row r="53" spans="1:13" ht="3.95" customHeight="1" thickBot="1">
      <c r="A53" s="62"/>
      <c r="B53" s="62"/>
      <c r="C53" s="62"/>
      <c r="D53" s="10"/>
      <c r="E53" s="61"/>
      <c r="F53" s="61"/>
      <c r="G53" s="61"/>
      <c r="H53" s="61"/>
      <c r="I53" s="41"/>
      <c r="J53" s="10"/>
      <c r="K53" s="10"/>
      <c r="L53" s="10"/>
      <c r="M53" s="10"/>
    </row>
    <row r="54" spans="1:13">
      <c r="A54" s="67" t="s">
        <v>42</v>
      </c>
      <c r="B54" s="67"/>
      <c r="C54" s="62"/>
      <c r="D54" s="10"/>
      <c r="E54" s="51">
        <f>SUM(E51:E52)</f>
        <v>161200</v>
      </c>
      <c r="F54" s="51">
        <f>SUM(F51:F52)</f>
        <v>26866.666666666668</v>
      </c>
      <c r="G54" s="51">
        <f>SUM(G51:G52)</f>
        <v>120900</v>
      </c>
      <c r="H54" s="51">
        <f>SUM(H51:H52)</f>
        <v>-94033.333333333328</v>
      </c>
      <c r="I54" s="51"/>
      <c r="J54" s="10"/>
      <c r="K54" s="10"/>
      <c r="L54" s="10"/>
      <c r="M54" s="10"/>
    </row>
    <row r="55" spans="1:13">
      <c r="A55" s="67"/>
      <c r="B55" s="67"/>
      <c r="C55" s="62"/>
      <c r="D55" s="10"/>
      <c r="E55" s="51"/>
      <c r="F55" s="51"/>
      <c r="G55" s="51"/>
      <c r="H55" s="51"/>
      <c r="I55" s="51"/>
      <c r="J55" s="10"/>
      <c r="K55" s="10"/>
      <c r="L55" s="10"/>
      <c r="M55" s="10"/>
    </row>
    <row r="56" spans="1:13">
      <c r="A56" s="62" t="s">
        <v>43</v>
      </c>
      <c r="B56" s="62"/>
      <c r="C56" s="62"/>
      <c r="D56" s="10"/>
      <c r="E56" s="50">
        <v>4345</v>
      </c>
      <c r="F56" s="41">
        <f t="shared" ref="F56:F58" si="7">E56/12*$F$8</f>
        <v>724.16666666666663</v>
      </c>
      <c r="G56" s="50">
        <v>3258.75</v>
      </c>
      <c r="H56" s="41">
        <f>F56-G56</f>
        <v>-2534.5833333333335</v>
      </c>
      <c r="I56" s="41"/>
      <c r="J56" s="10"/>
      <c r="K56" s="10"/>
      <c r="L56" s="10"/>
      <c r="M56" s="10"/>
    </row>
    <row r="57" spans="1:13">
      <c r="A57" s="62" t="s">
        <v>44</v>
      </c>
      <c r="B57" s="62"/>
      <c r="C57" s="62"/>
      <c r="D57" s="10"/>
      <c r="E57" s="73">
        <f>E15*9%</f>
        <v>28043.37</v>
      </c>
      <c r="F57" s="41">
        <f t="shared" si="7"/>
        <v>4673.8949999999995</v>
      </c>
      <c r="G57" s="50">
        <v>21032.527499999997</v>
      </c>
      <c r="H57" s="41">
        <f>F57-G57</f>
        <v>-16358.632499999996</v>
      </c>
      <c r="I57" s="41"/>
      <c r="J57" s="10"/>
      <c r="K57" s="10"/>
      <c r="L57" s="10"/>
      <c r="M57" s="10"/>
    </row>
    <row r="58" spans="1:13">
      <c r="A58" s="62" t="s">
        <v>45</v>
      </c>
      <c r="B58" s="62"/>
      <c r="C58" s="62"/>
      <c r="D58" s="10"/>
      <c r="E58" s="50">
        <v>0</v>
      </c>
      <c r="F58" s="41">
        <f t="shared" si="7"/>
        <v>0</v>
      </c>
      <c r="G58" s="50">
        <v>18893.934999999998</v>
      </c>
      <c r="H58" s="41">
        <f>F58-G58</f>
        <v>-18893.934999999998</v>
      </c>
      <c r="I58" s="41"/>
      <c r="J58" s="10"/>
      <c r="K58" s="10"/>
      <c r="L58" s="10"/>
      <c r="M58" s="10"/>
    </row>
    <row r="59" spans="1:13" ht="3.95" customHeight="1" thickBot="1">
      <c r="A59" s="62"/>
      <c r="B59" s="62"/>
      <c r="C59" s="62"/>
      <c r="D59" s="10"/>
      <c r="E59" s="61"/>
      <c r="F59" s="61"/>
      <c r="G59" s="61"/>
      <c r="H59" s="61"/>
      <c r="I59" s="41"/>
      <c r="J59" s="10"/>
      <c r="K59" s="10"/>
      <c r="L59" s="10"/>
      <c r="M59" s="10"/>
    </row>
    <row r="60" spans="1:13">
      <c r="A60" s="68" t="s">
        <v>46</v>
      </c>
      <c r="B60" s="63"/>
      <c r="C60" s="63"/>
      <c r="D60" s="18"/>
      <c r="E60" s="51">
        <f>SUM(E56:E58)</f>
        <v>32388.37</v>
      </c>
      <c r="F60" s="51">
        <f>SUM(F56:F58)</f>
        <v>5398.0616666666665</v>
      </c>
      <c r="G60" s="51">
        <f>SUM(G56:G58)</f>
        <v>43185.212499999994</v>
      </c>
      <c r="H60" s="51">
        <f>F60-G60</f>
        <v>-37787.150833333326</v>
      </c>
      <c r="I60" s="51"/>
      <c r="J60" s="41"/>
      <c r="K60" s="10"/>
      <c r="L60" s="10"/>
      <c r="M60" s="10"/>
    </row>
    <row r="61" spans="1:13" ht="8.1" customHeight="1">
      <c r="A61" s="68"/>
      <c r="B61" s="63"/>
      <c r="C61" s="63"/>
      <c r="D61" s="18"/>
      <c r="E61" s="51"/>
      <c r="F61" s="51"/>
      <c r="G61" s="51"/>
      <c r="H61" s="51"/>
      <c r="I61" s="51"/>
      <c r="J61" s="10"/>
      <c r="K61" s="10"/>
      <c r="L61" s="10"/>
      <c r="M61" s="10"/>
    </row>
    <row r="62" spans="1:13" ht="13.5" thickBot="1">
      <c r="A62" s="69" t="s">
        <v>47</v>
      </c>
      <c r="B62" s="67"/>
      <c r="C62" s="63"/>
      <c r="D62" s="18"/>
      <c r="E62" s="70">
        <f>E54+E60</f>
        <v>193588.37</v>
      </c>
      <c r="F62" s="70">
        <f t="shared" ref="F62:G62" si="8">F54+F60</f>
        <v>32264.728333333333</v>
      </c>
      <c r="G62" s="70">
        <f t="shared" si="8"/>
        <v>164085.21249999999</v>
      </c>
      <c r="H62" s="70">
        <f>F62-G62</f>
        <v>-131820.48416666666</v>
      </c>
      <c r="I62" s="51"/>
      <c r="J62" s="10"/>
      <c r="K62" s="10"/>
      <c r="L62" s="10"/>
      <c r="M62" s="10"/>
    </row>
    <row r="63" spans="1:13" ht="6.95" customHeight="1">
      <c r="A63" s="67"/>
      <c r="B63" s="67"/>
      <c r="C63" s="63"/>
      <c r="D63" s="18"/>
      <c r="E63" s="51"/>
      <c r="F63" s="51"/>
      <c r="G63" s="51"/>
      <c r="H63" s="51"/>
      <c r="I63" s="51"/>
      <c r="J63" s="10"/>
      <c r="K63" s="10"/>
      <c r="L63" s="10"/>
      <c r="M63" s="10"/>
    </row>
    <row r="64" spans="1:13" ht="13.5" thickBot="1">
      <c r="A64" s="71" t="s">
        <v>48</v>
      </c>
      <c r="B64" s="10"/>
      <c r="C64" s="10"/>
      <c r="D64" s="10"/>
      <c r="E64" s="72">
        <f>E32-E62</f>
        <v>-52070.280000000028</v>
      </c>
      <c r="F64" s="72">
        <f t="shared" ref="F64:G64" si="9">F32-F62</f>
        <v>-8678.3800000000083</v>
      </c>
      <c r="G64" s="72">
        <f t="shared" si="9"/>
        <v>11720.25</v>
      </c>
      <c r="H64" s="72">
        <f>G64-F64</f>
        <v>20398.630000000008</v>
      </c>
      <c r="I64" s="51"/>
      <c r="J64" s="10"/>
      <c r="K64" s="10"/>
      <c r="L64" s="10"/>
      <c r="M64" s="10"/>
    </row>
    <row r="65" s="11" customFormat="1" ht="13.5" thickTop="1"/>
    <row r="66" s="11" customFormat="1"/>
    <row r="67" s="11" customFormat="1"/>
    <row r="68" s="11" customFormat="1"/>
    <row r="69" s="11" customFormat="1"/>
    <row r="70" s="11" customFormat="1"/>
  </sheetData>
  <mergeCells count="22">
    <mergeCell ref="A30:C30"/>
    <mergeCell ref="A34:C34"/>
    <mergeCell ref="A11:C11"/>
    <mergeCell ref="A13:C13"/>
    <mergeCell ref="A12:C12"/>
    <mergeCell ref="A32:C32"/>
    <mergeCell ref="A15:C15"/>
    <mergeCell ref="A16:C16"/>
    <mergeCell ref="A22:C22"/>
    <mergeCell ref="A19:C19"/>
    <mergeCell ref="A20:C20"/>
    <mergeCell ref="A24:C24"/>
    <mergeCell ref="A27:C27"/>
    <mergeCell ref="A26:C26"/>
    <mergeCell ref="A25:C25"/>
    <mergeCell ref="A10:B10"/>
    <mergeCell ref="A9:B9"/>
    <mergeCell ref="A8:B8"/>
    <mergeCell ref="A6:H6"/>
    <mergeCell ref="A28:C28"/>
    <mergeCell ref="E10:H10"/>
    <mergeCell ref="E9:G9"/>
  </mergeCells>
  <dataValidations count="2">
    <dataValidation type="list" allowBlank="1" showInputMessage="1" showErrorMessage="1" sqref="I8" xr:uid="{00000000-0002-0000-0000-000000000000}">
      <formula1>"Jan, Feb, Mar, Apr, May, Jun, Jul, Aug, Sep, Oct, Nov, Dec"</formula1>
    </dataValidation>
    <dataValidation type="list" allowBlank="1" showInputMessage="1" showErrorMessage="1" sqref="F8" xr:uid="{00000000-0002-0000-0000-000001000000}">
      <formula1>"1,2,3,4,5,6,7,8,9,10,11,12,0"</formula1>
    </dataValidation>
  </dataValidations>
  <pageMargins left="0.7" right="0.7" top="0.75" bottom="0.75" header="0.3" footer="0.3"/>
  <pageSetup scale="90" fitToWidth="0" fitToHeight="0" orientation="portrait" r:id="rId1"/>
  <ignoredErrors>
    <ignoredError sqref="H54 F26 F24:F25 F27:F28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Data!$A$3:$A$14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zoomScale="112" workbookViewId="0">
      <selection activeCell="I25" sqref="I25"/>
    </sheetView>
  </sheetViews>
  <sheetFormatPr defaultColWidth="8.875" defaultRowHeight="15.75"/>
  <cols>
    <col min="1" max="1" width="8.625" bestFit="1" customWidth="1"/>
    <col min="2" max="2" width="6.625" bestFit="1" customWidth="1"/>
    <col min="3" max="3" width="5.75" bestFit="1" customWidth="1"/>
    <col min="4" max="4" width="7.875" bestFit="1" customWidth="1"/>
    <col min="5" max="5" width="8.375" bestFit="1" customWidth="1"/>
    <col min="6" max="6" width="8" bestFit="1" customWidth="1"/>
    <col min="7" max="7" width="8.5" bestFit="1" customWidth="1"/>
    <col min="8" max="8" width="9.5" bestFit="1" customWidth="1"/>
    <col min="9" max="9" width="7" bestFit="1" customWidth="1"/>
    <col min="10" max="10" width="6.625" customWidth="1"/>
    <col min="11" max="11" width="7.75" bestFit="1" customWidth="1"/>
    <col min="12" max="12" width="6.625" customWidth="1"/>
    <col min="13" max="13" width="8.625" bestFit="1" customWidth="1"/>
    <col min="14" max="14" width="8.75" bestFit="1" customWidth="1"/>
  </cols>
  <sheetData>
    <row r="1" spans="1:14" ht="18.75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>
      <c r="A2" s="2" t="s">
        <v>50</v>
      </c>
      <c r="B2" s="3" t="s">
        <v>51</v>
      </c>
      <c r="C2" s="3" t="s">
        <v>52</v>
      </c>
      <c r="D2" s="1" t="s">
        <v>53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58</v>
      </c>
      <c r="J2" s="1" t="s">
        <v>59</v>
      </c>
      <c r="K2" s="1" t="s">
        <v>60</v>
      </c>
      <c r="L2" s="1" t="s">
        <v>61</v>
      </c>
      <c r="M2" s="4" t="s">
        <v>62</v>
      </c>
      <c r="N2" s="79" t="s">
        <v>63</v>
      </c>
    </row>
    <row r="3" spans="1:14">
      <c r="A3" s="5" t="s">
        <v>64</v>
      </c>
      <c r="B3" s="6">
        <v>289</v>
      </c>
      <c r="C3" s="6">
        <v>262</v>
      </c>
      <c r="D3" s="80">
        <v>32987</v>
      </c>
      <c r="E3" s="80">
        <v>-16877.954166666666</v>
      </c>
      <c r="F3" s="80">
        <v>-778.98249999999996</v>
      </c>
      <c r="G3" s="80">
        <v>-4414.2341666666671</v>
      </c>
      <c r="H3" s="80">
        <v>11000</v>
      </c>
      <c r="I3" s="80">
        <v>2000</v>
      </c>
      <c r="J3" s="80">
        <v>1100</v>
      </c>
      <c r="K3" s="80">
        <v>1230</v>
      </c>
      <c r="L3" s="80">
        <v>500</v>
      </c>
      <c r="M3" s="81">
        <v>1200</v>
      </c>
      <c r="N3" s="7">
        <v>0</v>
      </c>
    </row>
    <row r="4" spans="1:14">
      <c r="A4" s="5" t="s">
        <v>4</v>
      </c>
      <c r="B4" s="6">
        <v>289</v>
      </c>
      <c r="C4" s="6">
        <v>262</v>
      </c>
      <c r="D4" s="80">
        <v>32432</v>
      </c>
      <c r="E4" s="80">
        <v>-16877.954166666666</v>
      </c>
      <c r="F4" s="80">
        <v>-778.98249999999996</v>
      </c>
      <c r="G4" s="80">
        <v>-4414.2341666666671</v>
      </c>
      <c r="H4" s="80">
        <v>11000</v>
      </c>
      <c r="I4" s="80">
        <v>2000</v>
      </c>
      <c r="J4" s="80">
        <v>1100</v>
      </c>
      <c r="K4" s="80">
        <v>1230</v>
      </c>
      <c r="L4" s="80">
        <v>500</v>
      </c>
      <c r="M4" s="81">
        <v>1200</v>
      </c>
      <c r="N4" s="7">
        <v>0</v>
      </c>
    </row>
    <row r="5" spans="1:14">
      <c r="A5" s="5" t="s">
        <v>65</v>
      </c>
      <c r="B5" s="6">
        <v>289</v>
      </c>
      <c r="C5" s="6">
        <v>262</v>
      </c>
      <c r="D5" s="80">
        <v>23456</v>
      </c>
      <c r="E5" s="80">
        <v>-16877.954166666666</v>
      </c>
      <c r="F5" s="80">
        <v>-778.98249999999996</v>
      </c>
      <c r="G5" s="80">
        <v>-4414.2341666666671</v>
      </c>
      <c r="H5" s="80">
        <v>11000</v>
      </c>
      <c r="I5" s="80">
        <v>2000</v>
      </c>
      <c r="J5" s="80">
        <v>1100</v>
      </c>
      <c r="K5" s="80">
        <v>1230</v>
      </c>
      <c r="L5" s="80">
        <v>500</v>
      </c>
      <c r="M5" s="81">
        <v>1200</v>
      </c>
      <c r="N5" s="7">
        <v>0</v>
      </c>
    </row>
    <row r="6" spans="1:14">
      <c r="A6" s="5" t="s">
        <v>66</v>
      </c>
      <c r="B6" s="6">
        <v>289</v>
      </c>
      <c r="C6" s="6">
        <v>262</v>
      </c>
      <c r="D6" s="80">
        <v>44534</v>
      </c>
      <c r="E6" s="80">
        <v>-16877.954166666666</v>
      </c>
      <c r="F6" s="80">
        <v>-778.98249999999996</v>
      </c>
      <c r="G6" s="80">
        <v>-4414.2341666666671</v>
      </c>
      <c r="H6" s="80">
        <v>11000</v>
      </c>
      <c r="I6" s="80">
        <v>2000</v>
      </c>
      <c r="J6" s="80">
        <v>1100</v>
      </c>
      <c r="K6" s="80">
        <v>1230</v>
      </c>
      <c r="L6" s="80">
        <v>500</v>
      </c>
      <c r="M6" s="81">
        <v>1200</v>
      </c>
      <c r="N6" s="7">
        <v>0</v>
      </c>
    </row>
    <row r="7" spans="1:14">
      <c r="A7" s="5" t="s">
        <v>67</v>
      </c>
      <c r="B7" s="6">
        <v>289</v>
      </c>
      <c r="C7" s="6">
        <v>262</v>
      </c>
      <c r="D7" s="80">
        <v>34321</v>
      </c>
      <c r="E7" s="80">
        <v>-16877.954166666666</v>
      </c>
      <c r="F7" s="80">
        <v>-778.98249999999996</v>
      </c>
      <c r="G7" s="80">
        <v>-4414.2341666666671</v>
      </c>
      <c r="H7" s="80">
        <v>11000</v>
      </c>
      <c r="I7" s="80">
        <v>2000</v>
      </c>
      <c r="J7" s="80">
        <v>1100</v>
      </c>
      <c r="K7" s="80">
        <v>1230</v>
      </c>
      <c r="L7" s="80">
        <v>500</v>
      </c>
      <c r="M7" s="81">
        <v>1200</v>
      </c>
      <c r="N7" s="7">
        <v>0</v>
      </c>
    </row>
    <row r="8" spans="1:14">
      <c r="A8" s="5" t="s">
        <v>68</v>
      </c>
      <c r="B8" s="6">
        <v>289</v>
      </c>
      <c r="C8" s="6">
        <v>262</v>
      </c>
      <c r="D8" s="80">
        <v>31234</v>
      </c>
      <c r="E8" s="80">
        <v>-16877.954166666666</v>
      </c>
      <c r="F8" s="80">
        <v>-778.98249999999996</v>
      </c>
      <c r="G8" s="80">
        <v>-4414.2341666666671</v>
      </c>
      <c r="H8" s="80">
        <v>11000</v>
      </c>
      <c r="I8" s="80">
        <v>2000</v>
      </c>
      <c r="J8" s="80">
        <v>1100</v>
      </c>
      <c r="K8" s="80">
        <v>1230</v>
      </c>
      <c r="L8" s="80">
        <v>500</v>
      </c>
      <c r="M8" s="81">
        <v>1200</v>
      </c>
      <c r="N8" s="7">
        <v>0</v>
      </c>
    </row>
    <row r="9" spans="1:14">
      <c r="A9" s="5" t="s">
        <v>69</v>
      </c>
      <c r="B9" s="6">
        <v>289</v>
      </c>
      <c r="C9" s="6">
        <v>262</v>
      </c>
      <c r="D9" s="80">
        <v>43213</v>
      </c>
      <c r="E9" s="80">
        <v>-16877.954166666666</v>
      </c>
      <c r="F9" s="80">
        <v>-778.98249999999996</v>
      </c>
      <c r="G9" s="80">
        <v>-4414.2341666666671</v>
      </c>
      <c r="H9" s="80">
        <v>11000</v>
      </c>
      <c r="I9" s="80">
        <v>2000</v>
      </c>
      <c r="J9" s="80">
        <v>1100</v>
      </c>
      <c r="K9" s="80">
        <v>1230</v>
      </c>
      <c r="L9" s="80">
        <v>500</v>
      </c>
      <c r="M9" s="81">
        <v>1200</v>
      </c>
      <c r="N9" s="7">
        <v>0</v>
      </c>
    </row>
    <row r="10" spans="1:14">
      <c r="A10" s="5" t="s">
        <v>70</v>
      </c>
      <c r="B10" s="6">
        <v>1586</v>
      </c>
      <c r="C10" s="6">
        <v>262</v>
      </c>
      <c r="D10" s="80">
        <v>54432</v>
      </c>
      <c r="E10" s="80">
        <v>-16877.954166666666</v>
      </c>
      <c r="F10" s="80">
        <v>-778.98249999999996</v>
      </c>
      <c r="G10" s="80">
        <v>-4414.2341666666671</v>
      </c>
      <c r="H10" s="80">
        <v>11000</v>
      </c>
      <c r="I10" s="80">
        <v>2000</v>
      </c>
      <c r="J10" s="80">
        <v>1100</v>
      </c>
      <c r="K10" s="80">
        <v>1230</v>
      </c>
      <c r="L10" s="80">
        <v>500</v>
      </c>
      <c r="M10" s="81">
        <v>1200</v>
      </c>
      <c r="N10" s="7">
        <v>0</v>
      </c>
    </row>
    <row r="11" spans="1:14">
      <c r="A11" s="5" t="s">
        <v>71</v>
      </c>
      <c r="B11" s="6">
        <v>1586</v>
      </c>
      <c r="C11" s="6">
        <v>262</v>
      </c>
      <c r="D11" s="80">
        <v>23567</v>
      </c>
      <c r="E11" s="80">
        <v>-16877.954166666666</v>
      </c>
      <c r="F11" s="80">
        <v>-778.98249999999996</v>
      </c>
      <c r="G11" s="80">
        <v>-4414.2341666666671</v>
      </c>
      <c r="H11" s="80">
        <v>11000</v>
      </c>
      <c r="I11" s="80">
        <v>2000</v>
      </c>
      <c r="J11" s="80">
        <v>1100</v>
      </c>
      <c r="K11" s="80">
        <v>1230</v>
      </c>
      <c r="L11" s="80">
        <v>500</v>
      </c>
      <c r="M11" s="81">
        <v>1200</v>
      </c>
      <c r="N11" s="7">
        <v>0</v>
      </c>
    </row>
    <row r="12" spans="1:14">
      <c r="A12" s="5" t="s">
        <v>72</v>
      </c>
      <c r="B12" s="6">
        <v>0</v>
      </c>
      <c r="C12" s="6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1">
        <v>0</v>
      </c>
      <c r="N12" s="7">
        <v>0</v>
      </c>
    </row>
    <row r="13" spans="1:14">
      <c r="A13" s="5" t="s">
        <v>73</v>
      </c>
      <c r="B13" s="6">
        <v>0</v>
      </c>
      <c r="C13" s="6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1">
        <v>0</v>
      </c>
      <c r="N13" s="7">
        <v>0</v>
      </c>
    </row>
    <row r="14" spans="1:14">
      <c r="A14" s="5" t="s">
        <v>74</v>
      </c>
      <c r="B14" s="6">
        <v>0</v>
      </c>
      <c r="C14" s="6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1">
        <v>0</v>
      </c>
      <c r="N14" s="7">
        <v>0</v>
      </c>
    </row>
    <row r="15" spans="1:14">
      <c r="A15" s="8" t="s">
        <v>75</v>
      </c>
      <c r="B15" s="9">
        <f>SUM(B3:B14)</f>
        <v>5195</v>
      </c>
      <c r="C15" s="9">
        <f>SUM(C3:C14)</f>
        <v>2358</v>
      </c>
      <c r="D15" s="82">
        <f>SUM(D3:D14)</f>
        <v>320176</v>
      </c>
      <c r="E15" s="82">
        <f>SUM(E3:E14)</f>
        <v>-151901.58749999999</v>
      </c>
      <c r="F15" s="82">
        <f t="shared" ref="F15:G15" si="0">SUM(F3:F14)</f>
        <v>-7010.8424999999997</v>
      </c>
      <c r="G15" s="82">
        <f t="shared" si="0"/>
        <v>-39728.107500000013</v>
      </c>
      <c r="H15" s="82">
        <f>SUM(H3:H14)</f>
        <v>99000</v>
      </c>
      <c r="I15" s="82">
        <f>SUM(I3:I14)</f>
        <v>18000</v>
      </c>
      <c r="J15" s="82">
        <f t="shared" ref="J15:L15" si="1">SUM(J3:J14)</f>
        <v>9900</v>
      </c>
      <c r="K15" s="82">
        <f t="shared" si="1"/>
        <v>11070</v>
      </c>
      <c r="L15" s="82">
        <f t="shared" si="1"/>
        <v>4500</v>
      </c>
      <c r="M15" s="83">
        <f>SUM(M3:M14)</f>
        <v>10800</v>
      </c>
      <c r="N15" s="84">
        <f>SUM(N3:N14)</f>
        <v>0</v>
      </c>
    </row>
  </sheetData>
  <mergeCells count="1">
    <mergeCell ref="A1:N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866381-D248-4607-AE52-2B5518D037F2}"/>
</file>

<file path=customXml/itemProps2.xml><?xml version="1.0" encoding="utf-8"?>
<ds:datastoreItem xmlns:ds="http://schemas.openxmlformats.org/officeDocument/2006/customXml" ds:itemID="{629D5BBB-8B8E-40C7-B5FB-287D6A1603F4}"/>
</file>

<file path=customXml/itemProps3.xml><?xml version="1.0" encoding="utf-8"?>
<ds:datastoreItem xmlns:ds="http://schemas.openxmlformats.org/officeDocument/2006/customXml" ds:itemID="{173D167B-30F4-4A9C-A489-DD62060C19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Roland E.</dc:creator>
  <cp:keywords/>
  <dc:description/>
  <cp:lastModifiedBy>Beasley, Ileta P.</cp:lastModifiedBy>
  <cp:revision/>
  <dcterms:created xsi:type="dcterms:W3CDTF">2018-02-04T01:05:53Z</dcterms:created>
  <dcterms:modified xsi:type="dcterms:W3CDTF">2022-10-03T19:21:38Z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